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W:\020_市民福祉部\030_介護支援課\020_介護給付係\2023_令和5年度\130_地域密着型サービス関係\020-地域密着型事業所（報酬・運営等）\【介護職員処遇改善加算】\R6処遇改善・特定処遇改善・ベースアップ加算\1_計画書提出通知\R6HP案内\R6\"/>
    </mc:Choice>
  </mc:AlternateContent>
  <bookViews>
    <workbookView xWindow="0" yWindow="0" windowWidth="20490" windowHeight="753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<sst xmlns="http://schemas.openxmlformats.org/spreadsheetml/2006/main" count="6878" uniqueCount="2437">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</sst>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firstButton="1"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P$63"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firstButton="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firstButton="1"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6524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4909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376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193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434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558737"/>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51875"/>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4909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103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103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04812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600575"/>
              <a:ext cx="304800" cy="714375"/>
              <a:chOff x="4479758" y="4496298"/>
              <a:chExt cx="301792" cy="78004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467348"/>
              <a:ext cx="304800" cy="698090"/>
              <a:chOff x="4549825" y="5456608"/>
              <a:chExt cx="308371" cy="76289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46735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8813582"/>
              <a:ext cx="304800" cy="371475"/>
              <a:chOff x="5763126" y="8931943"/>
              <a:chExt cx="301792" cy="494769"/>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334125"/>
              <a:ext cx="304800" cy="638175"/>
              <a:chOff x="4549825" y="6438946"/>
              <a:chExt cx="308371" cy="779261"/>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794490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02907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59706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32945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7944575"/>
              <a:ext cx="220577" cy="694590"/>
              <a:chOff x="5767613" y="8168777"/>
              <a:chExt cx="217578" cy="79244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794385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02907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60701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46735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33412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651108"/>
              <a:ext cx="0" cy="0"/>
              <a:chOff x="-34414" y="165110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11329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11332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794385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794385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7937202"/>
              <a:ext cx="200248" cy="744722"/>
              <a:chOff x="4538969" y="8166084"/>
              <a:chExt cx="208607" cy="749753"/>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100275"/>
              <a:ext cx="304802" cy="710980"/>
              <a:chOff x="5809589" y="7290597"/>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57200"/>
          <a:ext cx="8067895" cy="30768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048125"/>
              <a:ext cx="304800" cy="400050"/>
              <a:chOff x="4501773" y="3772594"/>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4"/>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4"/>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600575"/>
              <a:ext cx="304800" cy="714375"/>
              <a:chOff x="4479758" y="4496297"/>
              <a:chExt cx="301792" cy="780073"/>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7"/>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467348"/>
              <a:ext cx="304800" cy="698090"/>
              <a:chOff x="4549825" y="5456624"/>
              <a:chExt cx="308371" cy="762874"/>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4"/>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46735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8813582"/>
              <a:ext cx="304800" cy="371475"/>
              <a:chOff x="5763126" y="8931948"/>
              <a:chExt cx="301792" cy="494775"/>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8"/>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334125"/>
              <a:ext cx="304800" cy="638175"/>
              <a:chOff x="4549825" y="6438963"/>
              <a:chExt cx="308371" cy="779257"/>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3"/>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3"/>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794490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02907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59706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32945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7944575"/>
              <a:ext cx="220577" cy="694590"/>
              <a:chOff x="5767504" y="8168729"/>
              <a:chExt cx="217622" cy="792569"/>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7" y="8168729"/>
                <a:ext cx="217069"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2"/>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794385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02907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60701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46735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33412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651108"/>
              <a:ext cx="0" cy="0"/>
              <a:chOff x="-34414" y="165110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11329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11332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794385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794385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7937202"/>
              <a:ext cx="200248" cy="744722"/>
              <a:chOff x="4539010" y="8166001"/>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50" y="816600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10" y="864071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101811"/>
              <a:ext cx="207416" cy="718640"/>
              <a:chOff x="5898938" y="7305249"/>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8" y="7305249"/>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73" y="7775527"/>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484808"/>
          <a:ext cx="8112445" cy="30635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5</xdr:row>
      <xdr:rowOff>66675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048125"/>
              <a:ext cx="304800" cy="400050"/>
              <a:chOff x="4501773" y="3772565"/>
              <a:chExt cx="303832" cy="48689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5"/>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600575"/>
              <a:ext cx="304800" cy="714375"/>
              <a:chOff x="4479758" y="4496274"/>
              <a:chExt cx="301792" cy="78008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467348"/>
              <a:ext cx="304800" cy="698090"/>
              <a:chOff x="4549825" y="5456620"/>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46735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8813582"/>
              <a:ext cx="304800" cy="371475"/>
              <a:chOff x="5763126" y="8931913"/>
              <a:chExt cx="301792" cy="494771"/>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334125"/>
              <a:ext cx="304800" cy="638175"/>
              <a:chOff x="4549825" y="6438940"/>
              <a:chExt cx="308371" cy="779264"/>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8"/>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794490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02907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59706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32945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7944575"/>
              <a:ext cx="220577" cy="694590"/>
              <a:chOff x="5767615" y="8168780"/>
              <a:chExt cx="217575"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7" y="816878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8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794385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02907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60701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46735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33412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651108"/>
              <a:ext cx="0" cy="0"/>
              <a:chOff x="-34414" y="165110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11329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11332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794385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794385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7937202"/>
              <a:ext cx="200248" cy="744722"/>
              <a:chOff x="4538964" y="8166044"/>
              <a:chExt cx="208649" cy="74980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4" y="816604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4" y="8640728"/>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100275"/>
              <a:ext cx="304802" cy="710980"/>
              <a:chOff x="5809589" y="729059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77684"/>
          <a:ext cx="8049137" cy="30399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61010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33412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04812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600575"/>
              <a:ext cx="304800" cy="714375"/>
              <a:chOff x="4479758" y="4496298"/>
              <a:chExt cx="301792" cy="78004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467348"/>
              <a:ext cx="304800" cy="698090"/>
              <a:chOff x="4549825" y="5456608"/>
              <a:chExt cx="308371" cy="76289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46735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8813582"/>
              <a:ext cx="304800" cy="371475"/>
              <a:chOff x="5763126" y="8931943"/>
              <a:chExt cx="301792" cy="494769"/>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334125"/>
              <a:ext cx="304800" cy="638175"/>
              <a:chOff x="4549825" y="6438946"/>
              <a:chExt cx="308371" cy="779261"/>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794490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02907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59706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32945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7944575"/>
              <a:ext cx="220577" cy="694590"/>
              <a:chOff x="5767613" y="8168777"/>
              <a:chExt cx="217578" cy="79244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794385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02907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60701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46735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33412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651108"/>
              <a:ext cx="0" cy="0"/>
              <a:chOff x="-34414" y="165110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11329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11332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794385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794385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7937202"/>
              <a:ext cx="200248" cy="744722"/>
              <a:chOff x="4538969" y="8166084"/>
              <a:chExt cx="208607" cy="749753"/>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100275"/>
              <a:ext cx="304802" cy="710980"/>
              <a:chOff x="5809589" y="7290597"/>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57200"/>
          <a:ext cx="8067895" cy="30768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04812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600575"/>
              <a:ext cx="304800" cy="714375"/>
              <a:chOff x="4479758" y="4496298"/>
              <a:chExt cx="301792" cy="78004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467348"/>
              <a:ext cx="304800" cy="698090"/>
              <a:chOff x="4549825" y="5456608"/>
              <a:chExt cx="308371" cy="76289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46735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8813582"/>
              <a:ext cx="304800" cy="371475"/>
              <a:chOff x="5763126" y="8931943"/>
              <a:chExt cx="301792" cy="494769"/>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334125"/>
              <a:ext cx="304800" cy="638175"/>
              <a:chOff x="4549825" y="6438946"/>
              <a:chExt cx="308371" cy="779261"/>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794490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02907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59706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32945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7944575"/>
              <a:ext cx="220577" cy="694590"/>
              <a:chOff x="5767613" y="8168777"/>
              <a:chExt cx="217578" cy="79244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794385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02907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60701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46735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33412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651108"/>
              <a:ext cx="0" cy="0"/>
              <a:chOff x="-34414" y="165110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11329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11332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794385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794385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7937202"/>
              <a:ext cx="200248" cy="744722"/>
              <a:chOff x="4538969" y="8166084"/>
              <a:chExt cx="208607" cy="749753"/>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100275"/>
              <a:ext cx="304802" cy="710980"/>
              <a:chOff x="5809589" y="7290597"/>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57200"/>
          <a:ext cx="8067895" cy="30768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04812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600575"/>
              <a:ext cx="304800" cy="714375"/>
              <a:chOff x="4479758" y="4496298"/>
              <a:chExt cx="301792" cy="78004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467348"/>
              <a:ext cx="304800" cy="698090"/>
              <a:chOff x="4549825" y="5456608"/>
              <a:chExt cx="308371" cy="76289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46735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8813582"/>
              <a:ext cx="304800" cy="371475"/>
              <a:chOff x="5763126" y="8931943"/>
              <a:chExt cx="301792" cy="494769"/>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334125"/>
              <a:ext cx="304800" cy="638175"/>
              <a:chOff x="4549825" y="6438946"/>
              <a:chExt cx="308371" cy="779261"/>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794490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02907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59706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32945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7944575"/>
              <a:ext cx="220577" cy="694590"/>
              <a:chOff x="5767613" y="8168777"/>
              <a:chExt cx="217578" cy="79244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794385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02907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60701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46735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33412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651108"/>
              <a:ext cx="0" cy="0"/>
              <a:chOff x="-34414" y="165110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11329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11332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794385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794385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7937202"/>
              <a:ext cx="200248" cy="744722"/>
              <a:chOff x="4538969" y="8166084"/>
              <a:chExt cx="208607" cy="749753"/>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100275"/>
              <a:ext cx="304802" cy="710980"/>
              <a:chOff x="5809589" y="7290597"/>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57200"/>
          <a:ext cx="8067895" cy="30768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04812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600575"/>
              <a:ext cx="304800" cy="714375"/>
              <a:chOff x="4479758" y="4496298"/>
              <a:chExt cx="301792" cy="78004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467348"/>
              <a:ext cx="304800" cy="698090"/>
              <a:chOff x="4549825" y="5456608"/>
              <a:chExt cx="308371" cy="76289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46735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8813582"/>
              <a:ext cx="304800" cy="371475"/>
              <a:chOff x="5763126" y="8931943"/>
              <a:chExt cx="301792" cy="494769"/>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334125"/>
              <a:ext cx="304800" cy="638175"/>
              <a:chOff x="4549825" y="6438946"/>
              <a:chExt cx="308371" cy="779261"/>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794490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02907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59706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32945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7944575"/>
              <a:ext cx="220577" cy="694590"/>
              <a:chOff x="5767613" y="8168777"/>
              <a:chExt cx="217578" cy="79244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794385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02907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60701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46735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33412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651108"/>
              <a:ext cx="0" cy="0"/>
              <a:chOff x="-34414" y="165110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11329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11332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794385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794385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7937202"/>
              <a:ext cx="200248" cy="744722"/>
              <a:chOff x="4538969" y="8166084"/>
              <a:chExt cx="208607" cy="749753"/>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100275"/>
              <a:ext cx="304802" cy="710980"/>
              <a:chOff x="5809589" y="7290597"/>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57200"/>
          <a:ext cx="8067895" cy="30768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04812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600575"/>
              <a:ext cx="304800" cy="714375"/>
              <a:chOff x="4479758" y="4496298"/>
              <a:chExt cx="301792" cy="78004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467348"/>
              <a:ext cx="304800" cy="698090"/>
              <a:chOff x="4549825" y="5456608"/>
              <a:chExt cx="308371" cy="76289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46735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8813582"/>
              <a:ext cx="304800" cy="371475"/>
              <a:chOff x="5763126" y="8931943"/>
              <a:chExt cx="301792" cy="494769"/>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334125"/>
              <a:ext cx="304800" cy="638175"/>
              <a:chOff x="4549825" y="6438946"/>
              <a:chExt cx="308371" cy="779261"/>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794490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02907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59706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32945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7944575"/>
              <a:ext cx="220577" cy="694590"/>
              <a:chOff x="5767613" y="8168777"/>
              <a:chExt cx="217578" cy="79244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794385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02907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60701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46735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33412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651108"/>
              <a:ext cx="0" cy="0"/>
              <a:chOff x="-34414" y="165110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11329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11332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794385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794385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7937202"/>
              <a:ext cx="200248" cy="744722"/>
              <a:chOff x="4538969" y="8166084"/>
              <a:chExt cx="208607" cy="749753"/>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100275"/>
              <a:ext cx="304802" cy="710980"/>
              <a:chOff x="5809589" y="7290597"/>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57200"/>
          <a:ext cx="8067895" cy="30768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04812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600575"/>
              <a:ext cx="304800" cy="714375"/>
              <a:chOff x="4479758" y="4496298"/>
              <a:chExt cx="301792" cy="78004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467348"/>
              <a:ext cx="304800" cy="698090"/>
              <a:chOff x="4549825" y="5456608"/>
              <a:chExt cx="308371" cy="76289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46735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8813582"/>
              <a:ext cx="304800" cy="371475"/>
              <a:chOff x="5763126" y="8931943"/>
              <a:chExt cx="301792" cy="494769"/>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334125"/>
              <a:ext cx="304800" cy="638175"/>
              <a:chOff x="4549825" y="6438946"/>
              <a:chExt cx="308371" cy="779261"/>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794490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02907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59706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32945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7944575"/>
              <a:ext cx="220577" cy="694590"/>
              <a:chOff x="5767613" y="8168777"/>
              <a:chExt cx="217578" cy="79244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794385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02907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60701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46735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33412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651108"/>
              <a:ext cx="0" cy="0"/>
              <a:chOff x="-34414" y="165110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11329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11332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794385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794385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7937202"/>
              <a:ext cx="200248" cy="744722"/>
              <a:chOff x="4538969" y="8166084"/>
              <a:chExt cx="208607" cy="749753"/>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100275"/>
              <a:ext cx="304802" cy="710980"/>
              <a:chOff x="5809589" y="7290597"/>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57200"/>
          <a:ext cx="8067895" cy="30768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04812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600575"/>
              <a:ext cx="304800" cy="714375"/>
              <a:chOff x="4479758" y="4496298"/>
              <a:chExt cx="301792" cy="78004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467348"/>
              <a:ext cx="304800" cy="698090"/>
              <a:chOff x="4549825" y="5456608"/>
              <a:chExt cx="308371" cy="76289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46735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8813582"/>
              <a:ext cx="304800" cy="371475"/>
              <a:chOff x="5763126" y="8931943"/>
              <a:chExt cx="301792" cy="494769"/>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334125"/>
              <a:ext cx="304800" cy="638175"/>
              <a:chOff x="4549825" y="6438946"/>
              <a:chExt cx="308371" cy="779261"/>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794490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02907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59706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32945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7944575"/>
              <a:ext cx="220577" cy="694590"/>
              <a:chOff x="5767613" y="8168777"/>
              <a:chExt cx="217578" cy="79244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794385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02907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60701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46735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33412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651108"/>
              <a:ext cx="0" cy="0"/>
              <a:chOff x="-34414" y="165110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11329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11332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794385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794385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7937202"/>
              <a:ext cx="200248" cy="744722"/>
              <a:chOff x="4538969" y="8166084"/>
              <a:chExt cx="208607" cy="749753"/>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100275"/>
              <a:ext cx="304802" cy="710980"/>
              <a:chOff x="5809589" y="7290597"/>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57200"/>
          <a:ext cx="8067895" cy="30768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12781520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6008224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10581520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3808224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18"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IF(AM117="記入不要","",IF(OR(S118="○",AK125="○"),"○","×"))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2429</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8"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4"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0"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9"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4"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18"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18"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18"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2430</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8"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4"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0"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9"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4"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18"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18" customHeight="1">
      <c r="A14" s="178"/>
      <c r="B14" s="1116"/>
      <c r="C14" s="1117"/>
      <c r="D14" s="1117"/>
      <c r="E14" s="1117"/>
      <c r="F14" s="1117"/>
      <c r="G14" s="1117"/>
      <c r="H14" s="1117"/>
      <c r="I14" s="1117"/>
      <c r="J14" s="1117"/>
      <c r="K14" s="1117"/>
      <c r="L14" s="1117"/>
      <c r="M14" s="1117"/>
      <c r="N14" s="1117"/>
      <c r="O14" s="1117"/>
      <c r="P14" s="1117"/>
      <c r="Q14" s="1117"/>
      <c r="R14" s="1117"/>
      <c r="S14" s="1118"/>
      <c r="U14" s="202"/>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18" customHeight="1">
      <c r="A15" s="178"/>
      <c r="B15" s="1104" t="s">
        <v>2282</v>
      </c>
      <c r="C15" s="1105"/>
      <c r="D15" s="147">
        <v>6</v>
      </c>
      <c r="E15" s="203" t="s">
        <v>2283</v>
      </c>
      <c r="F15" s="147">
        <v>4</v>
      </c>
      <c r="G15" s="203" t="s">
        <v>2284</v>
      </c>
      <c r="H15" s="1106" t="s">
        <v>2285</v>
      </c>
      <c r="I15" s="1106"/>
      <c r="J15" s="1119"/>
      <c r="K15" s="147">
        <v>7</v>
      </c>
      <c r="L15" s="203" t="s">
        <v>2283</v>
      </c>
      <c r="M15" s="147">
        <v>3</v>
      </c>
      <c r="N15" s="203" t="s">
        <v>2284</v>
      </c>
      <c r="O15" s="203" t="s">
        <v>2286</v>
      </c>
      <c r="P15" s="204">
        <f>(K15*12+M15)-(D15*12+F15)+1</f>
        <v>12</v>
      </c>
      <c r="Q15" s="1106" t="s">
        <v>2287</v>
      </c>
      <c r="R15" s="1106"/>
      <c r="S15" s="205" t="s">
        <v>74</v>
      </c>
      <c r="U15" s="202"/>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219"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219"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219"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219"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219"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219"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219"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219"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219"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219"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2204</v>
      </c>
      <c r="V58" s="1014"/>
      <c r="W58" s="1014"/>
      <c r="X58" s="1014"/>
      <c r="Y58" s="1014"/>
      <c r="Z58" s="532"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2205</v>
      </c>
      <c r="V59" s="1014"/>
      <c r="W59" s="1014"/>
      <c r="X59" s="1014"/>
      <c r="Y59" s="1014"/>
      <c r="Z59" s="532"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2206</v>
      </c>
      <c r="V60" s="1014"/>
      <c r="W60" s="1014"/>
      <c r="X60" s="1014"/>
      <c r="Y60" s="1014"/>
      <c r="Z60" s="532"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2207</v>
      </c>
      <c r="V61" s="1014"/>
      <c r="W61" s="1014"/>
      <c r="X61" s="1014"/>
      <c r="Y61" s="1014"/>
      <c r="Z61" s="532"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2208</v>
      </c>
      <c r="V62" s="1014"/>
      <c r="W62" s="1014"/>
      <c r="X62" s="1014"/>
      <c r="Y62" s="1014"/>
      <c r="Z62" s="532"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2291</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8"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4"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0" customHeight="1">
      <c r="B5" s="1073">
        <v>1334567890</v>
      </c>
      <c r="C5" s="1073"/>
      <c r="D5" s="1073"/>
      <c r="E5" s="1073"/>
      <c r="F5" s="1073"/>
      <c r="G5" s="1074" t="s">
        <v>4</v>
      </c>
      <c r="H5" s="1074"/>
      <c r="I5" s="1074"/>
      <c r="J5" s="1075" t="s">
        <v>5</v>
      </c>
      <c r="K5" s="1075"/>
      <c r="L5" s="1075"/>
      <c r="M5" s="1076" t="s">
        <v>6</v>
      </c>
      <c r="N5" s="1076"/>
      <c r="O5" s="1076"/>
      <c r="P5" s="1077">
        <f>IF(Y5="","",IFERROR(INDEX(【参考】数式用3!$G$3:$I$451,MATCH(M5,【参考】数式用3!$F$3:$F$451,0),MATCH(VLOOKUP(Y5,【参考】数式用3!$J$2:$K$26,2,FALSE),【参考】数式用3!$G$2:$I$2,0)),10))</f>
        <v>11.4</v>
      </c>
      <c r="Q5" s="1078"/>
      <c r="R5" s="1078"/>
      <c r="S5" s="1079" t="s">
        <v>7</v>
      </c>
      <c r="T5" s="1080"/>
      <c r="U5" s="1080"/>
      <c r="V5" s="1080"/>
      <c r="W5" s="1080"/>
      <c r="X5" s="1081"/>
      <c r="Y5" s="1057" t="s">
        <v>260</v>
      </c>
      <c r="Z5" s="1057"/>
      <c r="AA5" s="1057"/>
      <c r="AB5" s="1057"/>
      <c r="AC5" s="1057"/>
      <c r="AD5" s="1057"/>
      <c r="AE5" s="1025">
        <v>225000</v>
      </c>
      <c r="AF5" s="1026"/>
      <c r="AG5" s="1026"/>
      <c r="AH5" s="1027"/>
      <c r="AI5" s="1025">
        <v>40000</v>
      </c>
      <c r="AJ5" s="1026"/>
      <c r="AK5" s="1026"/>
      <c r="AL5" s="1027"/>
      <c r="AM5" s="1028">
        <f>AE5-AI5</f>
        <v>185000</v>
      </c>
      <c r="AN5" s="1029"/>
      <c r="AO5" s="1029"/>
      <c r="AP5" s="1030"/>
      <c r="AS5" s="183"/>
      <c r="AT5" s="1009"/>
      <c r="AU5" s="1009"/>
      <c r="AV5" s="1009"/>
      <c r="AW5" s="1009"/>
      <c r="AX5" s="1009"/>
      <c r="AY5" s="1009"/>
      <c r="AZ5" s="1009"/>
      <c r="BA5" s="184"/>
      <c r="CE5" s="988" t="s">
        <v>2386</v>
      </c>
      <c r="CF5" s="988"/>
      <c r="CG5" s="988"/>
      <c r="CH5" s="988"/>
      <c r="CI5" s="979">
        <f>IF(OR(G49="処遇加算Ⅰ",AS48="処遇加算Ⅰ"),1,"")</f>
        <v>1</v>
      </c>
      <c r="CJ5" s="980"/>
    </row>
    <row r="6" spans="1:88" ht="9"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新加算Ⅱ</v>
      </c>
      <c r="W8" s="1040"/>
      <c r="X8" s="1040"/>
      <c r="Y8" s="1040"/>
      <c r="Z8" s="1041"/>
      <c r="AA8" s="1021" t="str">
        <f>IFERROR(VLOOKUP(AS1,【参考】数式用2!E6:L23,4,FALSE),"")</f>
        <v>補助金を取得する場合、４月からベア加算の算定が必要。その場合、６月以降は自然と新加算Ⅱに移行可能。</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4" customHeight="1">
      <c r="B9" s="1087" t="s">
        <v>9</v>
      </c>
      <c r="C9" s="1088"/>
      <c r="D9" s="1088"/>
      <c r="E9" s="1088"/>
      <c r="F9" s="1089"/>
      <c r="G9" s="1090" t="s">
        <v>10</v>
      </c>
      <c r="H9" s="1091"/>
      <c r="I9" s="1091"/>
      <c r="J9" s="1091"/>
      <c r="K9" s="1092"/>
      <c r="L9" s="1093" t="s">
        <v>11</v>
      </c>
      <c r="M9" s="1094"/>
      <c r="N9" s="1094"/>
      <c r="O9" s="1094"/>
      <c r="P9" s="1095"/>
      <c r="Q9" s="1082" t="s">
        <v>2200</v>
      </c>
      <c r="R9" s="1083"/>
      <c r="S9" s="1083"/>
      <c r="T9" s="998"/>
      <c r="U9" s="999"/>
      <c r="V9" s="1042">
        <f>IFERROR(VLOOKUP(Y5,【参考】数式用!$A$5:$AB$27,MATCH(V8,【参考】数式用!$B$4:$AB$4,0)+1,FALSE),"")</f>
        <v>0.224</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f>IFERROR(VLOOKUP(Y5,【参考】数式用!$A$5:$J$27,MATCH(B9,【参考】数式用!$B$4:$J$4,0)+1,0),"")</f>
        <v>0.13700000000000001</v>
      </c>
      <c r="C10" s="1097"/>
      <c r="D10" s="1097"/>
      <c r="E10" s="1097"/>
      <c r="F10" s="1098"/>
      <c r="G10" s="1096">
        <f>IFERROR(VLOOKUP(Y5,【参考】数式用!$A$5:$J$27,MATCH(G9,【参考】数式用!$B$4:$J$4,0)+1,0),"")</f>
        <v>4.2000000000000003E-2</v>
      </c>
      <c r="H10" s="1097"/>
      <c r="I10" s="1097"/>
      <c r="J10" s="1097"/>
      <c r="K10" s="1098"/>
      <c r="L10" s="1096">
        <f>IFERROR(VLOOKUP(Y5,【参考】数式用!$A$5:$J$27,MATCH(L9,【参考】数式用!$B$4:$J$4,0)+1,0),"")</f>
        <v>0</v>
      </c>
      <c r="M10" s="1097"/>
      <c r="N10" s="1097"/>
      <c r="O10" s="1097"/>
      <c r="P10" s="1098"/>
      <c r="Q10" s="1102">
        <f>SUM(B10,G10,L10)</f>
        <v>0.17900000000000002</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18"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新加算Ⅴ(３)</v>
      </c>
      <c r="W11" s="1048"/>
      <c r="X11" s="1048"/>
      <c r="Y11" s="1048"/>
      <c r="Z11" s="1048"/>
      <c r="AA11" s="1021" t="str">
        <f>IFERROR(VLOOKUP(AS1,【参考】数式用2!E6:L23,6,FALSE),"")</f>
        <v>４月からベア加算を算定せず、６月から月額賃金改善要件Ⅱも満たさない場合、Ⅴ(３)となる。なお、R7年度以降は月額賃金改善要件Ⅱが必要。</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2"/>
      <c r="D12" s="1072"/>
      <c r="E12" s="1072"/>
      <c r="F12" s="1072"/>
      <c r="G12" s="1072"/>
      <c r="H12" s="1072"/>
      <c r="I12" s="1072"/>
      <c r="J12" s="1072"/>
      <c r="K12" s="1072"/>
      <c r="L12" s="1072"/>
      <c r="M12" s="1072"/>
      <c r="N12" s="1072"/>
      <c r="O12" s="1072"/>
      <c r="P12" s="1072"/>
      <c r="Q12" s="1072"/>
      <c r="R12" s="1072"/>
      <c r="S12" s="1072"/>
      <c r="T12" s="1038"/>
      <c r="U12" s="999"/>
      <c r="V12" s="1047">
        <f>IFERROR(VLOOKUP(Y5,【参考】数式用!$A$5:$AB$27,MATCH(V11,【参考】数式用!$B$4:$AB$4,0)+1,FALSE),"")</f>
        <v>0.2</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18" customHeight="1">
      <c r="A14" s="178"/>
      <c r="B14" s="1116"/>
      <c r="C14" s="1117"/>
      <c r="D14" s="1117"/>
      <c r="E14" s="1117"/>
      <c r="F14" s="1117"/>
      <c r="G14" s="1117"/>
      <c r="H14" s="1117"/>
      <c r="I14" s="1117"/>
      <c r="J14" s="1117"/>
      <c r="K14" s="1117"/>
      <c r="L14" s="1117"/>
      <c r="M14" s="1117"/>
      <c r="N14" s="1117"/>
      <c r="O14" s="1117"/>
      <c r="P14" s="1117"/>
      <c r="Q14" s="1117"/>
      <c r="R14" s="1117"/>
      <c r="S14" s="1118"/>
      <c r="U14" s="202"/>
      <c r="V14" s="1048" t="str">
        <f>IFERROR(IF(VLOOKUP(AS1,【参考】数式用2!E6:L23,7,FALSE)="","",VLOOKUP(AS1,【参考】数式用2!E6:L23,7,FALSE)),"")</f>
        <v/>
      </c>
      <c r="W14" s="1048"/>
      <c r="X14" s="1048"/>
      <c r="Y14" s="1048"/>
      <c r="Z14" s="1048"/>
      <c r="AA14" s="1031">
        <f>IFERROR(VLOOKUP(AS1,【参考】数式用2!E6:L23,8,FALSE),"")</f>
        <v>0</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18" customHeight="1">
      <c r="A15" s="178"/>
      <c r="B15" s="1104" t="s">
        <v>2282</v>
      </c>
      <c r="C15" s="1105"/>
      <c r="D15" s="147">
        <v>6</v>
      </c>
      <c r="E15" s="203" t="s">
        <v>2283</v>
      </c>
      <c r="F15" s="147">
        <v>4</v>
      </c>
      <c r="G15" s="203" t="s">
        <v>2284</v>
      </c>
      <c r="H15" s="1106" t="s">
        <v>2285</v>
      </c>
      <c r="I15" s="1106"/>
      <c r="J15" s="1119"/>
      <c r="K15" s="147">
        <v>7</v>
      </c>
      <c r="L15" s="203" t="s">
        <v>2283</v>
      </c>
      <c r="M15" s="147">
        <v>3</v>
      </c>
      <c r="N15" s="203" t="s">
        <v>2284</v>
      </c>
      <c r="O15" s="203" t="s">
        <v>2286</v>
      </c>
      <c r="P15" s="204">
        <f>(K15*12+M15)-(D15*12+F15)+1</f>
        <v>12</v>
      </c>
      <c r="Q15" s="1106" t="s">
        <v>2287</v>
      </c>
      <c r="R15" s="1106"/>
      <c r="S15" s="205" t="s">
        <v>74</v>
      </c>
      <c r="U15" s="202"/>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219"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219" t="str">
        <f>IFERROR(IF(OR(B9="処遇加算Ⅰ",B9="処遇加算Ⅱ"),"✓",""),"")</f>
        <v>✓</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35"/>
      <c r="C25" s="1136"/>
      <c r="D25" s="1136"/>
      <c r="E25" s="1136"/>
      <c r="F25" s="1137"/>
      <c r="G25" s="1032"/>
      <c r="H25" s="1033"/>
      <c r="I25" s="1033"/>
      <c r="J25" s="1033"/>
      <c r="K25" s="1033"/>
      <c r="L25" s="1033"/>
      <c r="M25" s="1033"/>
      <c r="N25" s="1033"/>
      <c r="O25" s="1033"/>
      <c r="P25" s="1033"/>
      <c r="Q25" s="1033"/>
      <c r="R25" s="1033"/>
      <c r="S25" s="1033"/>
      <c r="T25" s="1052"/>
      <c r="U25" s="218"/>
      <c r="V25" s="219"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219"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219" t="str">
        <f>IFERROR(IF(OR(B9="処遇加算Ⅰ",B9="処遇加算Ⅱ"),"✓",""),"")</f>
        <v>✓</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219"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219"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219" t="str">
        <f>IFERROR(IF(B9="処遇加算Ⅰ","✓",""),"")</f>
        <v>✓</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219" t="str">
        <f>IFERROR(IF(OR(G9="特定加算Ⅰ",G9="特定加算Ⅱ"),"✓",""),"")</f>
        <v>✓</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38" t="s">
        <v>2223</v>
      </c>
      <c r="C40" s="1138"/>
      <c r="D40" s="1138"/>
      <c r="E40" s="1138"/>
      <c r="F40" s="1138"/>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219" t="str">
        <f>IFERROR(IF(OR(G9="特定加算Ⅰ",G9="特定加算Ⅱ"),"✓",""),"")</f>
        <v>✓</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処遇加算Ⅰ</v>
      </c>
      <c r="H49" s="1125"/>
      <c r="I49" s="1125"/>
      <c r="J49" s="1125"/>
      <c r="K49" s="1165"/>
      <c r="L49" s="1124" t="str">
        <f>IFERROR(IF(G9="","",IF(AND(OR(AH61=1,AH61=2),AH62=1,AH63=1),"特定加算Ⅰ",IF(AND(OR(AH61=1,AH61=2),AH62=2,AH63=1),"特定加算Ⅱ",IF(OR(AH61=3,AH62=2,AH63=2),"特定加算なし","")))),"")</f>
        <v>特定加算Ⅱ</v>
      </c>
      <c r="M49" s="1125"/>
      <c r="N49" s="1125"/>
      <c r="O49" s="1125"/>
      <c r="P49" s="1126"/>
      <c r="Q49" s="1127" t="str">
        <f>IFERROR(IF(OR(L9="ベア加算",AND(L9="ベア加算なし",AH57=1)),"ベア加算",IF(AH57=2,"ベア加算なし","")),"")</f>
        <v>ベア加算</v>
      </c>
      <c r="R49" s="1125"/>
      <c r="S49" s="1125"/>
      <c r="T49" s="1125"/>
      <c r="U49" s="1126"/>
      <c r="V49" s="1128" t="s">
        <v>12</v>
      </c>
      <c r="W49" s="1129"/>
      <c r="X49" s="1129"/>
      <c r="Y49" s="1129"/>
      <c r="Z49" s="1129"/>
      <c r="AA49" s="1038"/>
      <c r="AB49" s="103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0.13700000000000001</v>
      </c>
      <c r="H50" s="1157"/>
      <c r="I50" s="1157"/>
      <c r="J50" s="1157"/>
      <c r="K50" s="1158"/>
      <c r="L50" s="1156">
        <f>IFERROR(VLOOKUP(Y5,【参考】数式用!$A$5:$J$27,MATCH(L49,【参考】数式用!$B$4:$J$4,0)+1,0),"")</f>
        <v>4.2000000000000003E-2</v>
      </c>
      <c r="M50" s="1157"/>
      <c r="N50" s="1157"/>
      <c r="O50" s="1157"/>
      <c r="P50" s="1159"/>
      <c r="Q50" s="1160">
        <f>IFERROR(VLOOKUP(Y5,【参考】数式用!$A$5:$J$27,MATCH(Q49,【参考】数式用!$B$4:$J$4,0)+1,0),"")</f>
        <v>2.4E-2</v>
      </c>
      <c r="R50" s="1157"/>
      <c r="S50" s="1157"/>
      <c r="T50" s="1157"/>
      <c r="U50" s="1159"/>
      <c r="V50" s="1102">
        <f>SUM(G50,L50,Q50)</f>
        <v>0.20300000000000001</v>
      </c>
      <c r="W50" s="1103"/>
      <c r="X50" s="1103"/>
      <c r="Y50" s="1103"/>
      <c r="Z50" s="1103"/>
      <c r="AA50" s="1038"/>
      <c r="AB50" s="1038"/>
      <c r="AC50" s="1161">
        <f>IFERROR(VLOOKUP(Y5,【参考】数式用!$A$5:$AB$27,MATCH(AC49,【参考】数式用!$B$4:$AB$4,0)+1,FALSE),"")</f>
        <v>0.224</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21">
        <f>IFERROR(ROUNDDOWN(ROUND(AM5*G50,0)*P5,0)*H53,"")</f>
        <v>577866</v>
      </c>
      <c r="H51" s="1121"/>
      <c r="I51" s="1121"/>
      <c r="J51" s="1121"/>
      <c r="K51" s="148" t="s">
        <v>2289</v>
      </c>
      <c r="L51" s="1120">
        <f>IFERROR(ROUNDDOWN(ROUND(AM5*L50,0)*P5,0)*H53,"")</f>
        <v>177156</v>
      </c>
      <c r="M51" s="1121"/>
      <c r="N51" s="1121"/>
      <c r="O51" s="1121"/>
      <c r="P51" s="148" t="s">
        <v>2289</v>
      </c>
      <c r="Q51" s="1120">
        <f>IFERROR(ROUNDDOWN(ROUND(AM5*Q50,0)*P5,0)*H53,"")</f>
        <v>101232</v>
      </c>
      <c r="R51" s="1121"/>
      <c r="S51" s="1121"/>
      <c r="T51" s="1121"/>
      <c r="U51" s="149" t="s">
        <v>2289</v>
      </c>
      <c r="V51" s="1122">
        <f>IFERROR(SUM(G51,L51,Q51),"")</f>
        <v>856254</v>
      </c>
      <c r="W51" s="1123"/>
      <c r="X51" s="1123"/>
      <c r="Y51" s="1123"/>
      <c r="Z51" s="150" t="s">
        <v>2289</v>
      </c>
      <c r="AB51" s="151"/>
      <c r="AC51" s="1120">
        <f>IFERROR(ROUNDDOWN(ROUND(AM5*AC50,0)*P5,0)*AD53,"")</f>
        <v>4724160</v>
      </c>
      <c r="AD51" s="1121"/>
      <c r="AE51" s="1121"/>
      <c r="AF51" s="1121"/>
      <c r="AG51" s="1121"/>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(288,933円/月)</v>
      </c>
      <c r="H52" s="1059"/>
      <c r="I52" s="1059"/>
      <c r="J52" s="1059"/>
      <c r="K52" s="1059"/>
      <c r="L52" s="1059" t="str">
        <f>IFERROR("("&amp;TEXT(L51/H53,"#,##0円")&amp;"/月)","")</f>
        <v>(88,578円/月)</v>
      </c>
      <c r="M52" s="1059"/>
      <c r="N52" s="1059"/>
      <c r="O52" s="1059"/>
      <c r="P52" s="1059"/>
      <c r="Q52" s="1059" t="str">
        <f>IFERROR("("&amp;TEXT(Q51/H53,"#,##0円")&amp;"/月)","")</f>
        <v>(50,616円/月)</v>
      </c>
      <c r="R52" s="1059"/>
      <c r="S52" s="1059"/>
      <c r="T52" s="1059"/>
      <c r="U52" s="1059"/>
      <c r="V52" s="1059" t="str">
        <f>IFERROR("("&amp;TEXT(V51/H53,"#,##0円")&amp;"/月)","")</f>
        <v>(428,127円/月)</v>
      </c>
      <c r="W52" s="1059"/>
      <c r="X52" s="1059"/>
      <c r="Y52" s="1059"/>
      <c r="Z52" s="1059"/>
      <c r="AB52" s="151"/>
      <c r="AC52" s="1139" t="str">
        <f>IFERROR("("&amp;TEXT(AC51/AD53,"#,##0円")&amp;"/月)","")</f>
        <v>(472,416円/月)</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252">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252">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252">
        <f>IF(AND(B9&lt;&gt;"処遇加算なし",F15=4),IF(V32="✓",1,IF(V33="✓",2,"")),"")</f>
        <v>1</v>
      </c>
      <c r="AA60" s="245"/>
      <c r="AB60" s="249"/>
      <c r="AC60" s="1014" t="s">
        <v>2206</v>
      </c>
      <c r="AD60" s="1014"/>
      <c r="AE60" s="1014"/>
      <c r="AF60" s="1014"/>
      <c r="AG60" s="1014"/>
      <c r="AH60" s="170">
        <v>1</v>
      </c>
      <c r="AI60" s="253"/>
      <c r="AJ60" s="249"/>
      <c r="AK60" s="1014" t="s">
        <v>2206</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252">
        <f>IF(AND(B9&lt;&gt;"処遇加算なし",F15=4),IF(V36="✓",1,IF(V37="✓",2,"")),"")</f>
        <v>1</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252">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2423</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8"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4"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0" customHeight="1">
      <c r="B5" s="1073">
        <v>1334567891</v>
      </c>
      <c r="C5" s="1073"/>
      <c r="D5" s="1073"/>
      <c r="E5" s="1073"/>
      <c r="F5" s="1073"/>
      <c r="G5" s="1074" t="s">
        <v>4</v>
      </c>
      <c r="H5" s="1074"/>
      <c r="I5" s="1074"/>
      <c r="J5" s="1075" t="s">
        <v>5</v>
      </c>
      <c r="K5" s="1075"/>
      <c r="L5" s="1075"/>
      <c r="M5" s="1076" t="s">
        <v>6</v>
      </c>
      <c r="N5" s="1076"/>
      <c r="O5" s="1076"/>
      <c r="P5" s="1077">
        <f>IF(Y5="","",IFERROR(INDEX(【参考】数式用3!$G$3:$I$451,MATCH(M5,【参考】数式用3!$F$3:$F$451,0),MATCH(VLOOKUP(Y5,【参考】数式用3!$J$2:$K$26,2,FALSE),【参考】数式用3!$G$2:$I$2,0)),10))</f>
        <v>10.9</v>
      </c>
      <c r="Q5" s="1078"/>
      <c r="R5" s="1078"/>
      <c r="S5" s="1079" t="s">
        <v>2431</v>
      </c>
      <c r="T5" s="1080"/>
      <c r="U5" s="1080"/>
      <c r="V5" s="1080"/>
      <c r="W5" s="1080"/>
      <c r="X5" s="1081"/>
      <c r="Y5" s="1057" t="s">
        <v>281</v>
      </c>
      <c r="Z5" s="1057"/>
      <c r="AA5" s="1057"/>
      <c r="AB5" s="1057"/>
      <c r="AC5" s="1057"/>
      <c r="AD5" s="1057"/>
      <c r="AE5" s="1025">
        <v>385000</v>
      </c>
      <c r="AF5" s="1026"/>
      <c r="AG5" s="1026"/>
      <c r="AH5" s="1027"/>
      <c r="AI5" s="1025">
        <v>80000</v>
      </c>
      <c r="AJ5" s="1026"/>
      <c r="AK5" s="1026"/>
      <c r="AL5" s="1027"/>
      <c r="AM5" s="1028">
        <f>AE5-AI5</f>
        <v>305000</v>
      </c>
      <c r="AN5" s="1029"/>
      <c r="AO5" s="1029"/>
      <c r="AP5" s="1030"/>
      <c r="AS5" s="183"/>
      <c r="AT5" s="1009"/>
      <c r="AU5" s="1009"/>
      <c r="AV5" s="1009"/>
      <c r="AW5" s="1009"/>
      <c r="AX5" s="1009"/>
      <c r="AY5" s="1009"/>
      <c r="AZ5" s="1009"/>
      <c r="BA5" s="184"/>
      <c r="CE5" s="988" t="s">
        <v>2386</v>
      </c>
      <c r="CF5" s="988"/>
      <c r="CG5" s="988"/>
      <c r="CH5" s="988"/>
      <c r="CI5" s="979">
        <f>IF(OR(G49="処遇加算Ⅰ",AS48="処遇加算Ⅰ"),1,"")</f>
        <v>1</v>
      </c>
      <c r="CJ5" s="980"/>
    </row>
    <row r="6" spans="1:88" ht="9"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新加算Ⅱ</v>
      </c>
      <c r="W8" s="1040"/>
      <c r="X8" s="1040"/>
      <c r="Y8" s="1040"/>
      <c r="Z8" s="1041"/>
      <c r="AA8" s="1021"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4" customHeight="1">
      <c r="B9" s="1087" t="s">
        <v>267</v>
      </c>
      <c r="C9" s="1088"/>
      <c r="D9" s="1088"/>
      <c r="E9" s="1088"/>
      <c r="F9" s="1089"/>
      <c r="G9" s="1090" t="s">
        <v>13</v>
      </c>
      <c r="H9" s="1091"/>
      <c r="I9" s="1091"/>
      <c r="J9" s="1091"/>
      <c r="K9" s="1092"/>
      <c r="L9" s="1093" t="s">
        <v>15</v>
      </c>
      <c r="M9" s="1094"/>
      <c r="N9" s="1094"/>
      <c r="O9" s="1094"/>
      <c r="P9" s="1095"/>
      <c r="Q9" s="1082" t="s">
        <v>2200</v>
      </c>
      <c r="R9" s="1083"/>
      <c r="S9" s="1083"/>
      <c r="T9" s="998"/>
      <c r="U9" s="999"/>
      <c r="V9" s="1042">
        <f>IFERROR(VLOOKUP(Y5,【参考】数式用!$A$5:$AB$27,MATCH(V8,【参考】数式用!$B$4:$AB$4,0)+1,FALSE),"")</f>
        <v>8.9999999999999983E-2</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f>IFERROR(VLOOKUP(Y5,【参考】数式用!$A$5:$J$27,MATCH(B9,【参考】数式用!$B$4:$J$4,0)+1,0),"")</f>
        <v>4.2999999999999997E-2</v>
      </c>
      <c r="C10" s="1097"/>
      <c r="D10" s="1097"/>
      <c r="E10" s="1097"/>
      <c r="F10" s="1098"/>
      <c r="G10" s="1096">
        <f>IFERROR(VLOOKUP(Y5,【参考】数式用!$A$5:$J$27,MATCH(G9,【参考】数式用!$B$4:$J$4,0)+1,0),"")</f>
        <v>0</v>
      </c>
      <c r="H10" s="1097"/>
      <c r="I10" s="1097"/>
      <c r="J10" s="1097"/>
      <c r="K10" s="1098"/>
      <c r="L10" s="1096">
        <f>IFERROR(VLOOKUP(Y5,【参考】数式用!$A$5:$J$27,MATCH(L9,【参考】数式用!$B$4:$J$4,0)+1,0),"")</f>
        <v>1.0999999999999999E-2</v>
      </c>
      <c r="M10" s="1097"/>
      <c r="N10" s="1097"/>
      <c r="O10" s="1097"/>
      <c r="P10" s="1098"/>
      <c r="Q10" s="1102">
        <f>SUM(B10,G10,L10)</f>
        <v>5.3999999999999992E-2</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18"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新加算Ⅲ</v>
      </c>
      <c r="W11" s="1048"/>
      <c r="X11" s="1048"/>
      <c r="Y11" s="1048"/>
      <c r="Z11" s="1048"/>
      <c r="AA11" s="1021" t="str">
        <f>IFERROR(VLOOKUP(AS1,【参考】数式用2!E6:L23,6,FALSE),"")</f>
        <v>キャリアパス要件Ⅲを「R6年度中の対応の誓約」で満たし、４月から旧処遇加算Ⅰを算定可。その場合、６月以降は自然と新加算Ⅲに移行可能。</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2"/>
      <c r="D12" s="1072"/>
      <c r="E12" s="1072"/>
      <c r="F12" s="1072"/>
      <c r="G12" s="1072"/>
      <c r="H12" s="1072"/>
      <c r="I12" s="1072"/>
      <c r="J12" s="1072"/>
      <c r="K12" s="1072"/>
      <c r="L12" s="1072"/>
      <c r="M12" s="1072"/>
      <c r="N12" s="1072"/>
      <c r="O12" s="1072"/>
      <c r="P12" s="1072"/>
      <c r="Q12" s="1072"/>
      <c r="R12" s="1072"/>
      <c r="S12" s="1072"/>
      <c r="T12" s="1038"/>
      <c r="U12" s="999"/>
      <c r="V12" s="1047">
        <f>IFERROR(VLOOKUP(Y5,【参考】数式用!$A$5:$AB$27,MATCH(V11,【参考】数式用!$B$4:$AB$4,0)+1,FALSE),"")</f>
        <v>7.9999999999999988E-2</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18"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新加算Ⅳ</v>
      </c>
      <c r="W14" s="1048"/>
      <c r="X14" s="1048"/>
      <c r="Y14" s="1048"/>
      <c r="Z14" s="1048"/>
      <c r="AA14" s="1031"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18"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f>IFERROR(VLOOKUP(Y5,【参考】数式用!$A$5:$AB$27,MATCH(V14,【参考】数式用!$B$4:$AB$4,0)+1,FALSE),"")</f>
        <v>6.3999999999999987E-2</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141" t="s">
        <v>2271</v>
      </c>
      <c r="AE41" s="1142"/>
      <c r="AF41" s="1142"/>
      <c r="AG41" s="1142"/>
      <c r="AH41" s="1143"/>
      <c r="AI41" s="998"/>
      <c r="AJ41" s="999"/>
      <c r="AK41" s="234" t="s">
        <v>90</v>
      </c>
      <c r="AL41" s="1141" t="s">
        <v>2271</v>
      </c>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処遇加算Ⅰ</v>
      </c>
      <c r="H49" s="1125"/>
      <c r="I49" s="1125"/>
      <c r="J49" s="1125"/>
      <c r="K49" s="1165"/>
      <c r="L49" s="1124" t="str">
        <f>IFERROR(IF(G9="","",IF(AND(OR(AH61=1,AH61=2),AH62=1,AH63=1),"特定加算Ⅰ",IF(AND(OR(AH61=1,AH61=2),AH62=2,AH63=1),"特定加算Ⅱ",IF(OR(AH61=3,AH62=2,AH63=2),"特定加算なし","")))),"")</f>
        <v>特定加算Ⅱ</v>
      </c>
      <c r="M49" s="1125"/>
      <c r="N49" s="1125"/>
      <c r="O49" s="1125"/>
      <c r="P49" s="1126"/>
      <c r="Q49" s="1127" t="str">
        <f>IFERROR(IF(OR(L9="ベア加算",AND(L9="ベア加算なし",AH57=1)),"ベア加算",IF(AH57=2,"ベア加算なし","")),"")</f>
        <v>ベア加算</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5.8999999999999997E-2</v>
      </c>
      <c r="H50" s="1157"/>
      <c r="I50" s="1157"/>
      <c r="J50" s="1157"/>
      <c r="K50" s="1158"/>
      <c r="L50" s="1156">
        <f>IFERROR(VLOOKUP(Y5,【参考】数式用!$A$5:$J$27,MATCH(L49,【参考】数式用!$B$4:$J$4,0)+1,0),"")</f>
        <v>0.01</v>
      </c>
      <c r="M50" s="1157"/>
      <c r="N50" s="1157"/>
      <c r="O50" s="1157"/>
      <c r="P50" s="1159"/>
      <c r="Q50" s="1160">
        <f>IFERROR(VLOOKUP(Y5,【参考】数式用!$A$5:$J$27,MATCH(Q49,【参考】数式用!$B$4:$J$4,0)+1,0),"")</f>
        <v>1.0999999999999999E-2</v>
      </c>
      <c r="R50" s="1157"/>
      <c r="S50" s="1157"/>
      <c r="T50" s="1157"/>
      <c r="U50" s="1159"/>
      <c r="V50" s="1102">
        <f>SUM(G50,L50,Q50)</f>
        <v>7.9999999999999988E-2</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21">
        <f>IFERROR(ROUNDDOWN(ROUND(AM5*G50,0)*P5,0)*H53,"")</f>
        <v>392290</v>
      </c>
      <c r="H51" s="1121"/>
      <c r="I51" s="1121"/>
      <c r="J51" s="1121"/>
      <c r="K51" s="148" t="s">
        <v>2289</v>
      </c>
      <c r="L51" s="1120">
        <f>IFERROR(ROUNDDOWN(ROUND(AM5*L50,0)*P5,0)*H53,"")</f>
        <v>66490</v>
      </c>
      <c r="M51" s="1121"/>
      <c r="N51" s="1121"/>
      <c r="O51" s="1121"/>
      <c r="P51" s="148" t="s">
        <v>2289</v>
      </c>
      <c r="Q51" s="1120">
        <f>IFERROR(ROUNDDOWN(ROUND(AM5*Q50,0)*P5,0)*H53,"")</f>
        <v>73138</v>
      </c>
      <c r="R51" s="1121"/>
      <c r="S51" s="1121"/>
      <c r="T51" s="1121"/>
      <c r="U51" s="149" t="s">
        <v>2289</v>
      </c>
      <c r="V51" s="1122">
        <f>IFERROR(SUM(G51,L51,Q51),"")</f>
        <v>531918</v>
      </c>
      <c r="W51" s="1123"/>
      <c r="X51" s="1123"/>
      <c r="Y51" s="1123"/>
      <c r="Z51" s="150" t="s">
        <v>2289</v>
      </c>
      <c r="AB51" s="151"/>
      <c r="AC51" s="1120" t="str">
        <f>IFERROR(ROUNDDOWN(ROUND(AM5*AC50,0)*P5,0)*AD53,"")</f>
        <v/>
      </c>
      <c r="AD51" s="1121"/>
      <c r="AE51" s="1121"/>
      <c r="AF51" s="1121"/>
      <c r="AG51" s="1121"/>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t="str">
        <f>IFERROR(ROUNDDOWN(ROUND(AM5*(AC50-Q10),0)*P5,0)*AD53,"")</f>
        <v/>
      </c>
      <c r="BF51" s="1010"/>
      <c r="BG51" s="1010"/>
      <c r="BH51" s="1010"/>
      <c r="BI51" s="1010">
        <f>SUM(AS51:BH51)</f>
        <v>172874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(196,145円/月)</v>
      </c>
      <c r="H52" s="1059"/>
      <c r="I52" s="1059"/>
      <c r="J52" s="1059"/>
      <c r="K52" s="1059"/>
      <c r="L52" s="1059" t="str">
        <f>IFERROR("("&amp;TEXT(L51/H53,"#,##0円")&amp;"/月)","")</f>
        <v>(33,245円/月)</v>
      </c>
      <c r="M52" s="1059"/>
      <c r="N52" s="1059"/>
      <c r="O52" s="1059"/>
      <c r="P52" s="1059"/>
      <c r="Q52" s="1059" t="str">
        <f>IFERROR("("&amp;TEXT(Q51/H53,"#,##0円")&amp;"/月)","")</f>
        <v>(36,569円/月)</v>
      </c>
      <c r="R52" s="1059"/>
      <c r="S52" s="1059"/>
      <c r="T52" s="1059"/>
      <c r="U52" s="1059"/>
      <c r="V52" s="1059" t="str">
        <f>IFERROR("("&amp;TEXT(V51/H53,"#,##0円")&amp;"/月)","")</f>
        <v>(265,959円/月)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v>2</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2432</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8"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4"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0" customHeight="1">
      <c r="B5" s="1073">
        <v>1334567892</v>
      </c>
      <c r="C5" s="1073"/>
      <c r="D5" s="1073"/>
      <c r="E5" s="1073"/>
      <c r="F5" s="1073"/>
      <c r="G5" s="1074" t="s">
        <v>2436</v>
      </c>
      <c r="H5" s="1074"/>
      <c r="I5" s="1074"/>
      <c r="J5" s="1075" t="s">
        <v>5</v>
      </c>
      <c r="K5" s="1075"/>
      <c r="L5" s="1075"/>
      <c r="M5" s="1076" t="s">
        <v>6</v>
      </c>
      <c r="N5" s="1076"/>
      <c r="O5" s="1076"/>
      <c r="P5" s="1077">
        <f>IF(Y5="","",IFERROR(INDEX(【参考】数式用3!$G$3:$I$451,MATCH(M5,【参考】数式用3!$F$3:$F$451,0),MATCH(VLOOKUP(Y5,【参考】数式用3!$J$2:$K$26,2,FALSE),【参考】数式用3!$G$2:$I$2,0)),10))</f>
        <v>10.9</v>
      </c>
      <c r="Q5" s="1078"/>
      <c r="R5" s="1078"/>
      <c r="S5" s="1079" t="s">
        <v>2435</v>
      </c>
      <c r="T5" s="1080"/>
      <c r="U5" s="1080"/>
      <c r="V5" s="1080"/>
      <c r="W5" s="1080"/>
      <c r="X5" s="1081"/>
      <c r="Y5" s="1057" t="s">
        <v>284</v>
      </c>
      <c r="Z5" s="1057"/>
      <c r="AA5" s="1057"/>
      <c r="AB5" s="1057"/>
      <c r="AC5" s="1057"/>
      <c r="AD5" s="1057"/>
      <c r="AE5" s="1025">
        <v>325000</v>
      </c>
      <c r="AF5" s="1026"/>
      <c r="AG5" s="1026"/>
      <c r="AH5" s="1027"/>
      <c r="AI5" s="1025">
        <v>0</v>
      </c>
      <c r="AJ5" s="1026"/>
      <c r="AK5" s="1026"/>
      <c r="AL5" s="1027"/>
      <c r="AM5" s="1028">
        <f>AE5-AI5</f>
        <v>325000</v>
      </c>
      <c r="AN5" s="1029"/>
      <c r="AO5" s="1029"/>
      <c r="AP5" s="1030"/>
      <c r="AS5" s="183"/>
      <c r="AT5" s="1009"/>
      <c r="AU5" s="1009"/>
      <c r="AV5" s="1009"/>
      <c r="AW5" s="1009"/>
      <c r="AX5" s="1009"/>
      <c r="AY5" s="1009"/>
      <c r="AZ5" s="1009"/>
      <c r="BA5" s="184"/>
      <c r="CE5" s="988" t="s">
        <v>2386</v>
      </c>
      <c r="CF5" s="988"/>
      <c r="CG5" s="988"/>
      <c r="CH5" s="988"/>
      <c r="CI5" s="979">
        <f>IF(OR(G49="処遇加算Ⅰ",AS48="処遇加算Ⅰ"),1,"")</f>
        <v>1</v>
      </c>
      <c r="CJ5" s="980"/>
    </row>
    <row r="6" spans="1:88" ht="9"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4"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18"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18"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18" customHeight="1">
      <c r="A15" s="178"/>
      <c r="B15" s="1104" t="s">
        <v>2282</v>
      </c>
      <c r="C15" s="1105"/>
      <c r="D15" s="147">
        <v>6</v>
      </c>
      <c r="E15" s="530" t="s">
        <v>2283</v>
      </c>
      <c r="F15" s="533">
        <v>10</v>
      </c>
      <c r="G15" s="530" t="s">
        <v>2284</v>
      </c>
      <c r="H15" s="1106" t="s">
        <v>2285</v>
      </c>
      <c r="I15" s="1106"/>
      <c r="J15" s="1119"/>
      <c r="K15" s="147">
        <v>7</v>
      </c>
      <c r="L15" s="530" t="s">
        <v>2283</v>
      </c>
      <c r="M15" s="147">
        <v>3</v>
      </c>
      <c r="N15" s="530" t="s">
        <v>2284</v>
      </c>
      <c r="O15" s="530" t="s">
        <v>2286</v>
      </c>
      <c r="P15" s="204">
        <f>(K15*12+M15)-(D15*12+F15)+1</f>
        <v>6</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
      </c>
      <c r="AD20" s="1065"/>
      <c r="AE20" s="1065"/>
      <c r="AF20" s="1065"/>
      <c r="AG20" s="1065"/>
      <c r="AH20" s="1065"/>
      <c r="AI20" s="191"/>
      <c r="AJ20" s="191"/>
      <c r="AK20" s="1065" t="str">
        <f>IF(OR(F15=4,F15=5),"R6.6","R"&amp;D15&amp;"."&amp;F15)&amp;"～R"&amp;K15&amp;"."&amp;M15</f>
        <v>R6.10～R7.3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t="s">
        <v>2271</v>
      </c>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R6.10～R7.3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f>IFERROR(VLOOKUP(Y5,【参考】数式用!$A$5:$AB$27,MATCH(AC49,【参考】数式用!$B$4:$AB$4,0)+1,FALSE),"")</f>
        <v>8.9999999999999983E-2</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f>IFERROR(ROUNDDOWN(ROUND(AM5*AC50,0)*P5,0)*AD53,"")</f>
        <v>1912950</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f>IFERROR(ROUNDDOWN(ROUND(AM5*(AC50-Q10),0)*P5,0)*AD53,"")</f>
        <v>1912950</v>
      </c>
      <c r="BF51" s="1010"/>
      <c r="BG51" s="1010"/>
      <c r="BH51" s="1010"/>
      <c r="BI51" s="1010">
        <f>SUM(AS51:BH51)</f>
        <v>1912950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
      </c>
      <c r="W52" s="1059"/>
      <c r="X52" s="1059"/>
      <c r="Y52" s="1059"/>
      <c r="Z52" s="1059"/>
      <c r="AB52" s="151"/>
      <c r="AC52" s="1139" t="str">
        <f>IFERROR("("&amp;TEXT(AC51/AD53,"#,##0円")&amp;"/月)","")</f>
        <v>(318,825円/月)</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534">
        <f>IF(AND(F15&lt;&gt;4,F15&lt;&gt;5),0,IF(AU8="○",1,3))</f>
        <v>0</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534">
        <f>IF(AND(F15&lt;&gt;4,F15&lt;&gt;5),0,IF(AV8="○",1,3))</f>
        <v>0</v>
      </c>
      <c r="AI59" s="253"/>
      <c r="AJ59" s="249"/>
      <c r="AK59" s="1014" t="s">
        <v>2205</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534">
        <f>IF(AND(F15&lt;&gt;4,F15&lt;&gt;5),0,IF(AW8="○",1,3))</f>
        <v>0</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534">
        <f>IF(AND(F15&lt;&gt;4,F15&lt;&gt;5),0,IF(AX8="○",1,2))</f>
        <v>0</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534">
        <f>IF(AND(F15&lt;&gt;4,F15&lt;&gt;5),0,IF(AY8="○",1,2))</f>
        <v>0</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2424</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8"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4"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0" customHeight="1">
      <c r="B5" s="1073">
        <v>1334567893</v>
      </c>
      <c r="C5" s="1073"/>
      <c r="D5" s="1073"/>
      <c r="E5" s="1073"/>
      <c r="F5" s="1073"/>
      <c r="G5" s="1074" t="s">
        <v>2433</v>
      </c>
      <c r="H5" s="1074"/>
      <c r="I5" s="1074"/>
      <c r="J5" s="1075" t="s">
        <v>5</v>
      </c>
      <c r="K5" s="1075"/>
      <c r="L5" s="1075"/>
      <c r="M5" s="1076" t="s">
        <v>1320</v>
      </c>
      <c r="N5" s="1076"/>
      <c r="O5" s="1076"/>
      <c r="P5" s="1077">
        <f>IF(Y5="","",IFERROR(INDEX(【参考】数式用3!$G$3:$I$451,MATCH(M5,【参考】数式用3!$F$3:$F$451,0),MATCH(VLOOKUP(Y5,【参考】数式用3!$J$2:$K$26,2,FALSE),【参考】数式用3!$G$2:$I$2,0)),10))</f>
        <v>11.1</v>
      </c>
      <c r="Q5" s="1078"/>
      <c r="R5" s="1078"/>
      <c r="S5" s="1079" t="s">
        <v>2434</v>
      </c>
      <c r="T5" s="1080"/>
      <c r="U5" s="1080"/>
      <c r="V5" s="1080"/>
      <c r="W5" s="1080"/>
      <c r="X5" s="1081"/>
      <c r="Y5" s="1057" t="s">
        <v>292</v>
      </c>
      <c r="Z5" s="1057"/>
      <c r="AA5" s="1057"/>
      <c r="AB5" s="1057"/>
      <c r="AC5" s="1057"/>
      <c r="AD5" s="1057"/>
      <c r="AE5" s="1025">
        <v>425000</v>
      </c>
      <c r="AF5" s="1026"/>
      <c r="AG5" s="1026"/>
      <c r="AH5" s="1027"/>
      <c r="AI5" s="1025">
        <v>80000</v>
      </c>
      <c r="AJ5" s="1026"/>
      <c r="AK5" s="1026"/>
      <c r="AL5" s="1027"/>
      <c r="AM5" s="1028">
        <f>AE5-AI5</f>
        <v>345000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9"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新加算Ⅳ</v>
      </c>
      <c r="W8" s="1040"/>
      <c r="X8" s="1040"/>
      <c r="Y8" s="1040"/>
      <c r="Z8" s="1041"/>
      <c r="AA8" s="1021"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4" customHeight="1">
      <c r="B9" s="1087" t="s">
        <v>268</v>
      </c>
      <c r="C9" s="1088"/>
      <c r="D9" s="1088"/>
      <c r="E9" s="1088"/>
      <c r="F9" s="1089"/>
      <c r="G9" s="1090" t="s">
        <v>13</v>
      </c>
      <c r="H9" s="1091"/>
      <c r="I9" s="1091"/>
      <c r="J9" s="1091"/>
      <c r="K9" s="1092"/>
      <c r="L9" s="1093" t="s">
        <v>11</v>
      </c>
      <c r="M9" s="1094"/>
      <c r="N9" s="1094"/>
      <c r="O9" s="1094"/>
      <c r="P9" s="1095"/>
      <c r="Q9" s="1082" t="s">
        <v>2200</v>
      </c>
      <c r="R9" s="1083"/>
      <c r="S9" s="1083"/>
      <c r="T9" s="998"/>
      <c r="U9" s="999"/>
      <c r="V9" s="1042">
        <f>IFERROR(VLOOKUP(Y5,【参考】数式用!$A$5:$AB$27,MATCH(V8,【参考】数式用!$B$4:$AB$4,0)+1,FALSE),"")</f>
        <v>0.106</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f>IFERROR(VLOOKUP(Y5,【参考】数式用!$A$5:$J$27,MATCH(B9,【参考】数式用!$B$4:$J$4,0)+1,0),"")</f>
        <v>4.1000000000000002E-2</v>
      </c>
      <c r="C10" s="1097"/>
      <c r="D10" s="1097"/>
      <c r="E10" s="1097"/>
      <c r="F10" s="1098"/>
      <c r="G10" s="1096">
        <f>IFERROR(VLOOKUP(Y5,【参考】数式用!$A$5:$J$27,MATCH(G9,【参考】数式用!$B$4:$J$4,0)+1,0),"")</f>
        <v>0</v>
      </c>
      <c r="H10" s="1097"/>
      <c r="I10" s="1097"/>
      <c r="J10" s="1097"/>
      <c r="K10" s="1098"/>
      <c r="L10" s="1096">
        <f>IFERROR(VLOOKUP(Y5,【参考】数式用!$A$5:$J$27,MATCH(L9,【参考】数式用!$B$4:$J$4,0)+1,0),"")</f>
        <v>0</v>
      </c>
      <c r="M10" s="1097"/>
      <c r="N10" s="1097"/>
      <c r="O10" s="1097"/>
      <c r="P10" s="1098"/>
      <c r="Q10" s="1102">
        <f>SUM(B10,G10,L10)</f>
        <v>4.1000000000000002E-2</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18"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新加算Ⅴ(11)</v>
      </c>
      <c r="W11" s="1048"/>
      <c r="X11" s="1048"/>
      <c r="Y11" s="1048"/>
      <c r="Z11" s="1048"/>
      <c r="AA11" s="1021"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2"/>
      <c r="D12" s="1072"/>
      <c r="E12" s="1072"/>
      <c r="F12" s="1072"/>
      <c r="G12" s="1072"/>
      <c r="H12" s="1072"/>
      <c r="I12" s="1072"/>
      <c r="J12" s="1072"/>
      <c r="K12" s="1072"/>
      <c r="L12" s="1072"/>
      <c r="M12" s="1072"/>
      <c r="N12" s="1072"/>
      <c r="O12" s="1072"/>
      <c r="P12" s="1072"/>
      <c r="Q12" s="1072"/>
      <c r="R12" s="1072"/>
      <c r="S12" s="1072"/>
      <c r="T12" s="1038"/>
      <c r="U12" s="999"/>
      <c r="V12" s="1047">
        <f>IFERROR(VLOOKUP(Y5,【参考】数式用!$A$5:$AB$27,MATCH(V11,【参考】数式用!$B$4:$AB$4,0)+1,FALSE),"")</f>
        <v>8.8999999999999996E-2</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18"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新加算Ⅴ(14)</v>
      </c>
      <c r="W14" s="1048"/>
      <c r="X14" s="1048"/>
      <c r="Y14" s="1048"/>
      <c r="Z14" s="1048"/>
      <c r="AA14" s="103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18"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f>IFERROR(VLOOKUP(Y5,【参考】数式用!$A$5:$AB$27,MATCH(V14,【参考】数式用!$B$4:$AB$4,0)+1,FALSE),"")</f>
        <v>5.6000000000000001E-2</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処遇加算Ⅱ</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処遇加算Ⅱ</v>
      </c>
      <c r="H49" s="1125"/>
      <c r="I49" s="1125"/>
      <c r="J49" s="1125"/>
      <c r="K49" s="1165"/>
      <c r="L49" s="1124" t="str">
        <f>IFERROR(IF(G9="","",IF(AND(OR(AH61=1,AH61=2),AH62=1,AH63=1),"特定加算Ⅰ",IF(AND(OR(AH61=1,AH61=2),AH62=2,AH63=1),"特定加算Ⅱ",IF(OR(AH61=3,AH62=2,AH63=2),"特定加算なし","")))),"")</f>
        <v>特定加算なし</v>
      </c>
      <c r="M49" s="1125"/>
      <c r="N49" s="1125"/>
      <c r="O49" s="1125"/>
      <c r="P49" s="1126"/>
      <c r="Q49" s="1127" t="str">
        <f>IFERROR(IF(OR(L9="ベア加算",AND(L9="ベア加算なし",AH57=1)),"ベア加算",IF(AH57=2,"ベア加算なし","")),"")</f>
        <v>ベア加算</v>
      </c>
      <c r="R49" s="1125"/>
      <c r="S49" s="1125"/>
      <c r="T49" s="1125"/>
      <c r="U49" s="1126"/>
      <c r="V49" s="1128" t="s">
        <v>12</v>
      </c>
      <c r="W49" s="1129"/>
      <c r="X49" s="1129"/>
      <c r="Y49" s="1129"/>
      <c r="Z49" s="1129"/>
      <c r="AA49" s="1038"/>
      <c r="AB49" s="1038"/>
      <c r="AC49" s="1153" t="str">
        <f>IFERROR(VLOOKUP(BE48,【参考】数式用2!E6:F23,2,FALSE),"")</f>
        <v>新加算Ⅳ</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f>IFERROR(VLOOKUP(Y5,【参考】数式用!$A$5:$J$27,MATCH(G49,【参考】数式用!$B$4:$J$4,0)+1,0),"")</f>
        <v>7.3999999999999996E-2</v>
      </c>
      <c r="H50" s="1157"/>
      <c r="I50" s="1157"/>
      <c r="J50" s="1157"/>
      <c r="K50" s="1158"/>
      <c r="L50" s="1156">
        <f>IFERROR(VLOOKUP(Y5,【参考】数式用!$A$5:$J$27,MATCH(L49,【参考】数式用!$B$4:$J$4,0)+1,0),"")</f>
        <v>0</v>
      </c>
      <c r="M50" s="1157"/>
      <c r="N50" s="1157"/>
      <c r="O50" s="1157"/>
      <c r="P50" s="1159"/>
      <c r="Q50" s="1160">
        <f>IFERROR(VLOOKUP(Y5,【参考】数式用!$A$5:$J$27,MATCH(Q49,【参考】数式用!$B$4:$J$4,0)+1,0),"")</f>
        <v>1.7000000000000001E-2</v>
      </c>
      <c r="R50" s="1157"/>
      <c r="S50" s="1157"/>
      <c r="T50" s="1157"/>
      <c r="U50" s="1159"/>
      <c r="V50" s="1102">
        <f>SUM(G50,L50,Q50)</f>
        <v>9.0999999999999998E-2</v>
      </c>
      <c r="W50" s="1103"/>
      <c r="X50" s="1103"/>
      <c r="Y50" s="1103"/>
      <c r="Z50" s="1103"/>
      <c r="AA50" s="1038"/>
      <c r="AB50" s="1038"/>
      <c r="AC50" s="1161">
        <f>IFERROR(VLOOKUP(Y5,【参考】数式用!$A$5:$AB$27,MATCH(AC49,【参考】数式用!$B$4:$AB$4,0)+1,FALSE),"")</f>
        <v>0.106</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21">
        <f>IFERROR(ROUNDDOWN(ROUND(AM5*G50,0)*P5,0)*H53,"")</f>
        <v>566766</v>
      </c>
      <c r="H51" s="1121"/>
      <c r="I51" s="1121"/>
      <c r="J51" s="1121"/>
      <c r="K51" s="148" t="s">
        <v>2289</v>
      </c>
      <c r="L51" s="1120">
        <f>IFERROR(ROUNDDOWN(ROUND(AM5*L50,0)*P5,0)*H53,"")</f>
        <v>0</v>
      </c>
      <c r="M51" s="1121"/>
      <c r="N51" s="1121"/>
      <c r="O51" s="1121"/>
      <c r="P51" s="148" t="s">
        <v>2289</v>
      </c>
      <c r="Q51" s="1120">
        <f>IFERROR(ROUNDDOWN(ROUND(AM5*Q50,0)*P5,0)*H53,"")</f>
        <v>130202</v>
      </c>
      <c r="R51" s="1121"/>
      <c r="S51" s="1121"/>
      <c r="T51" s="1121"/>
      <c r="U51" s="149" t="s">
        <v>2289</v>
      </c>
      <c r="V51" s="1122">
        <f>IFERROR(SUM(G51,L51,Q51),"")</f>
        <v>696968</v>
      </c>
      <c r="W51" s="1123"/>
      <c r="X51" s="1123"/>
      <c r="Y51" s="1123"/>
      <c r="Z51" s="150" t="s">
        <v>2289</v>
      </c>
      <c r="AB51" s="151"/>
      <c r="AC51" s="1120">
        <f>IFERROR(ROUNDDOWN(ROUND(AM5*AC50,0)*P5,0)*AD53,"")</f>
        <v>4059270</v>
      </c>
      <c r="AD51" s="1121"/>
      <c r="AE51" s="1121"/>
      <c r="AF51" s="1121"/>
      <c r="AG51" s="1121"/>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58" t="str">
        <f>IFERROR("("&amp;TEXT(G51/H53,"#,##0円")&amp;"/月)","")</f>
        <v>(283,383円/月)</v>
      </c>
      <c r="H52" s="1059"/>
      <c r="I52" s="1059"/>
      <c r="J52" s="1059"/>
      <c r="K52" s="1059"/>
      <c r="L52" s="1059" t="str">
        <f>IFERROR("("&amp;TEXT(L51/H53,"#,##0円")&amp;"/月)","")</f>
        <v>(0円/月)</v>
      </c>
      <c r="M52" s="1059"/>
      <c r="N52" s="1059"/>
      <c r="O52" s="1059"/>
      <c r="P52" s="1059"/>
      <c r="Q52" s="1059" t="str">
        <f>IFERROR("("&amp;TEXT(Q51/H53,"#,##0円")&amp;"/月)","")</f>
        <v>(65,101円/月)</v>
      </c>
      <c r="R52" s="1059"/>
      <c r="S52" s="1059"/>
      <c r="T52" s="1059"/>
      <c r="U52" s="1059"/>
      <c r="V52" s="1059" t="str">
        <f>IFERROR("("&amp;TEXT(V51/H53,"#,##0円")&amp;"/月)","")</f>
        <v>(348,484円/月)</v>
      </c>
      <c r="W52" s="1059"/>
      <c r="X52" s="1059"/>
      <c r="Y52" s="1059"/>
      <c r="Z52" s="1059"/>
      <c r="AB52" s="151"/>
      <c r="AC52" s="1139" t="str">
        <f>IFERROR("("&amp;TEXT(AC51/AD53,"#,##0円")&amp;"/月)","")</f>
        <v>(405,927円/月)</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f>IF(AND(B9&lt;&gt;"処遇加算なし",F15=4),IF(V24="✓",1,IF(V25="✓",2,IF(V26="✓",3,""))),"")</f>
        <v>2</v>
      </c>
      <c r="AA58" s="245"/>
      <c r="AB58" s="249"/>
      <c r="AC58" s="1014" t="s">
        <v>2204</v>
      </c>
      <c r="AD58" s="1014"/>
      <c r="AE58" s="1014"/>
      <c r="AF58" s="1014"/>
      <c r="AG58" s="1014"/>
      <c r="AH58" s="170">
        <v>2</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f>IF(AND(B9&lt;&gt;"処遇加算なし",F15=4),IF(V28="✓",1,IF(V29="✓",2,IF(V30="✓",3,""))),"")</f>
        <v>2</v>
      </c>
      <c r="AA59" s="245"/>
      <c r="AB59" s="249"/>
      <c r="AC59" s="1014" t="s">
        <v>2205</v>
      </c>
      <c r="AD59" s="1014"/>
      <c r="AE59" s="1014"/>
      <c r="AF59" s="1014"/>
      <c r="AG59" s="1014"/>
      <c r="AH59" s="170">
        <v>1</v>
      </c>
      <c r="AI59" s="253"/>
      <c r="AJ59" s="249"/>
      <c r="AK59" s="1014" t="s">
        <v>2205</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2425</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8"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4"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0"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9"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4"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18"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18"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18"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2426</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8"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4"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0"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9"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4"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18"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18"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18"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2427</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8"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4"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0"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9"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4"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18"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18"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18"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2428</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8"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4"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0"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9"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4"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18"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18"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18"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2024-03-24T07:24:21Z</dcterms:modified>
</cp:coreProperties>
</file>